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38400" windowHeight="24000" tabRatio="500"/>
  </bookViews>
  <sheets>
    <sheet name="Source" sheetId="1" r:id="rId1"/>
    <sheet name="Lebanon_May_2030" sheetId="2" r:id="rId2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3" i="2"/>
  <c r="C18"/>
  <c r="W12"/>
  <c r="W19" s="1"/>
  <c r="V12"/>
  <c r="V19" s="1"/>
  <c r="U12"/>
  <c r="U19" s="1"/>
  <c r="T12"/>
  <c r="S12"/>
  <c r="R12"/>
  <c r="R19" s="1"/>
  <c r="Q12"/>
  <c r="P12"/>
  <c r="P19" s="1"/>
  <c r="O12"/>
  <c r="O19" s="1"/>
  <c r="N12"/>
  <c r="N19" s="1"/>
  <c r="M12"/>
  <c r="M19" s="1"/>
  <c r="L12"/>
  <c r="K12"/>
  <c r="J12"/>
  <c r="J19" s="1"/>
  <c r="I12"/>
  <c r="H12"/>
  <c r="H19" s="1"/>
  <c r="G12"/>
  <c r="G19" s="1"/>
  <c r="F12"/>
  <c r="F19" s="1"/>
  <c r="E12"/>
  <c r="E19" s="1"/>
  <c r="D12"/>
  <c r="D13" s="1"/>
  <c r="C12"/>
  <c r="C13" s="1"/>
  <c r="D11"/>
  <c r="C11"/>
  <c r="D10"/>
  <c r="D18" s="1"/>
  <c r="D9"/>
  <c r="E9" s="1"/>
  <c r="F9" s="1"/>
  <c r="G9" s="1"/>
  <c r="H9" s="1"/>
  <c r="I9" s="1"/>
  <c r="J9" s="1"/>
  <c r="K9" s="1"/>
  <c r="L9" s="1"/>
  <c r="M9" s="1"/>
  <c r="N9" s="1"/>
  <c r="O9" s="1"/>
  <c r="P9" s="1"/>
  <c r="Q9" s="1"/>
  <c r="R9" s="1"/>
  <c r="S9" s="1"/>
  <c r="T9" s="1"/>
  <c r="U9" s="1"/>
  <c r="V9" s="1"/>
  <c r="W9" s="1"/>
  <c r="C7"/>
  <c r="Y6"/>
  <c r="C6"/>
  <c r="Y5"/>
  <c r="Y4"/>
  <c r="Y3"/>
  <c r="C31" i="1"/>
  <c r="F7"/>
  <c r="E7"/>
  <c r="D7"/>
  <c r="C7"/>
  <c r="F5"/>
  <c r="E4"/>
  <c r="D4"/>
  <c r="E10" i="2" l="1"/>
  <c r="I19"/>
  <c r="Q19"/>
  <c r="C19"/>
  <c r="K19"/>
  <c r="S19"/>
  <c r="C17"/>
  <c r="D19"/>
  <c r="L19"/>
  <c r="T19"/>
  <c r="E18" l="1"/>
  <c r="E11"/>
  <c r="E13" s="1"/>
  <c r="F10"/>
  <c r="G10" l="1"/>
  <c r="F11"/>
  <c r="F13" s="1"/>
  <c r="F18"/>
  <c r="G18" l="1"/>
  <c r="H10"/>
  <c r="G11"/>
  <c r="G13" s="1"/>
  <c r="H18" l="1"/>
  <c r="H11"/>
  <c r="H13" s="1"/>
  <c r="I10"/>
  <c r="J10" l="1"/>
  <c r="I11"/>
  <c r="I18"/>
  <c r="J11" l="1"/>
  <c r="J13" s="1"/>
  <c r="J18"/>
  <c r="K10"/>
  <c r="K11" l="1"/>
  <c r="K13" s="1"/>
  <c r="K18"/>
  <c r="L10"/>
  <c r="L18" l="1"/>
  <c r="L11"/>
  <c r="L13" s="1"/>
  <c r="M10"/>
  <c r="M18" l="1"/>
  <c r="M11"/>
  <c r="M13" s="1"/>
  <c r="N10"/>
  <c r="O10" l="1"/>
  <c r="N11"/>
  <c r="N13" s="1"/>
  <c r="N18"/>
  <c r="P10" l="1"/>
  <c r="O18"/>
  <c r="O11"/>
  <c r="O13" s="1"/>
  <c r="Q10" l="1"/>
  <c r="P18"/>
  <c r="P11"/>
  <c r="P13" s="1"/>
  <c r="R10" l="1"/>
  <c r="Q11"/>
  <c r="Q13" s="1"/>
  <c r="Q18"/>
  <c r="R11" l="1"/>
  <c r="R13" s="1"/>
  <c r="R18"/>
  <c r="S10"/>
  <c r="S18" l="1"/>
  <c r="S11"/>
  <c r="S13" s="1"/>
  <c r="T10"/>
  <c r="T18" l="1"/>
  <c r="T11"/>
  <c r="T13" s="1"/>
  <c r="U10"/>
  <c r="U18" l="1"/>
  <c r="U11"/>
  <c r="U13" s="1"/>
  <c r="V10"/>
  <c r="W10" l="1"/>
  <c r="V11"/>
  <c r="V13" s="1"/>
  <c r="V18"/>
  <c r="W18" l="1"/>
  <c r="B19" s="1"/>
  <c r="W11"/>
  <c r="W13" s="1"/>
  <c r="B14" s="1"/>
</calcChain>
</file>

<file path=xl/sharedStrings.xml><?xml version="1.0" encoding="utf-8"?>
<sst xmlns="http://schemas.openxmlformats.org/spreadsheetml/2006/main" count="38" uniqueCount="36">
  <si>
    <t>Date</t>
  </si>
  <si>
    <t>Fraction d'année</t>
  </si>
  <si>
    <t>Flux</t>
  </si>
  <si>
    <t>taux actualisation</t>
  </si>
  <si>
    <t>Flux actualisé</t>
  </si>
  <si>
    <t>Quotations</t>
  </si>
  <si>
    <t>https://www.bourse.lu/security/XS0250882478/99150</t>
  </si>
  <si>
    <t>https://www.bankaudi.com.lb/private-banking/capital-markets/fixed-income</t>
  </si>
  <si>
    <t>https://www.byblosbank.com/capital-markets/fixed-income</t>
  </si>
  <si>
    <t>Obligation 2037</t>
  </si>
  <si>
    <t>Actualités</t>
  </si>
  <si>
    <t>https://www.bloomberg.com/news/articles/2019-06-19/lebanon-eurobonds-enter-danger-zone-as-fiscal-crisis-drags-on</t>
  </si>
  <si>
    <t>https://www.bloomberg.com/news/articles/2019-09-09/juiciest-sovereign-eurobond-in-history-may-come-if-lebanon-sells</t>
  </si>
  <si>
    <t>https://au.finance.yahoo.com/news/lebanon-illiquid-bond-market-takes-101641205.html</t>
  </si>
  <si>
    <t>http://cbonds.com/countries/Lebanon-bond</t>
  </si>
  <si>
    <t>encours de dette en USD</t>
  </si>
  <si>
    <t>Population</t>
  </si>
  <si>
    <t>par habitant</t>
  </si>
  <si>
    <t>ISIN Code</t>
  </si>
  <si>
    <t>XS1196419854</t>
  </si>
  <si>
    <t>Today =</t>
  </si>
  <si>
    <t>R =</t>
  </si>
  <si>
    <t>Previous Coupon</t>
  </si>
  <si>
    <t>nb days</t>
  </si>
  <si>
    <t>Accrued coupon</t>
  </si>
  <si>
    <t>Flow n°</t>
  </si>
  <si>
    <t>Year fraction</t>
  </si>
  <si>
    <t>Coupon</t>
  </si>
  <si>
    <t>Discounted Coupon</t>
  </si>
  <si>
    <t>price calculated using r</t>
  </si>
  <si>
    <t>giving price ; excel solve IRR with uneven date with formula XTRI</t>
  </si>
  <si>
    <t>https://en.annahar.com/article/1070554-lebanese-eurobonds-inevitable-default-or-trade-of-a-lifetime</t>
  </si>
  <si>
    <t>Genious Blog</t>
  </si>
  <si>
    <t>https://www.bloomberg.com/news/videos/2019-11-12/lebanon-still-far-from-doomsday-scenario-arqaam-capital-s-rizk-says-video</t>
  </si>
  <si>
    <t>Zeina Rizk, director of fixed income at Arqaam Capital</t>
  </si>
  <si>
    <t>https://uk.reuters.com/article/lebanon-bonds/lebanon-to-delay-2-bln-eurobond-issuance-committed-to-paying-maturities-on-time-idUKL8N27P0PO</t>
  </si>
</sst>
</file>

<file path=xl/styles.xml><?xml version="1.0" encoding="utf-8"?>
<styleSheet xmlns="http://schemas.openxmlformats.org/spreadsheetml/2006/main">
  <numFmts count="7">
    <numFmt numFmtId="164" formatCode="[$-40C]dd/mm/yyyy"/>
    <numFmt numFmtId="165" formatCode="0\ %"/>
    <numFmt numFmtId="166" formatCode="_-[$$-409]* #,##0.00_ ;_-[$$-409]* \-#,##0.00\ ;_-[$$-409]* \-??_ ;_-@_ "/>
    <numFmt numFmtId="167" formatCode="dd/mm/yy"/>
    <numFmt numFmtId="168" formatCode="0.00\ %"/>
    <numFmt numFmtId="169" formatCode="#,##0.000"/>
    <numFmt numFmtId="170" formatCode="0.000"/>
  </numFmts>
  <fonts count="5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u/>
      <sz val="12"/>
      <color rgb="FF0563C1"/>
      <name val="Calibri"/>
      <family val="2"/>
      <charset val="1"/>
    </font>
    <font>
      <sz val="10"/>
      <name val="Times New Roman"/>
      <family val="1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22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0" fontId="2" fillId="0" borderId="0" xfId="1" applyFont="1" applyBorder="1" applyAlignment="1" applyProtection="1"/>
    <xf numFmtId="3" fontId="0" fillId="0" borderId="0" xfId="0" applyNumberFormat="1"/>
    <xf numFmtId="166" fontId="0" fillId="0" borderId="0" xfId="0" applyNumberFormat="1"/>
    <xf numFmtId="0" fontId="0" fillId="0" borderId="0" xfId="0" applyAlignment="1">
      <alignment horizontal="right"/>
    </xf>
    <xf numFmtId="167" fontId="3" fillId="0" borderId="0" xfId="0" applyNumberFormat="1" applyFont="1"/>
    <xf numFmtId="0" fontId="0" fillId="0" borderId="1" xfId="0" applyBorder="1"/>
    <xf numFmtId="0" fontId="0" fillId="0" borderId="1" xfId="0" applyFont="1" applyBorder="1" applyAlignment="1">
      <alignment horizontal="right"/>
    </xf>
    <xf numFmtId="167" fontId="0" fillId="0" borderId="1" xfId="0" applyNumberFormat="1" applyBorder="1"/>
    <xf numFmtId="168" fontId="0" fillId="2" borderId="1" xfId="0" applyNumberFormat="1" applyFill="1" applyBorder="1"/>
    <xf numFmtId="2" fontId="0" fillId="0" borderId="1" xfId="0" applyNumberFormat="1" applyBorder="1"/>
    <xf numFmtId="3" fontId="4" fillId="0" borderId="1" xfId="0" applyNumberFormat="1" applyFont="1" applyBorder="1"/>
    <xf numFmtId="169" fontId="0" fillId="0" borderId="1" xfId="0" applyNumberFormat="1" applyBorder="1"/>
    <xf numFmtId="168" fontId="0" fillId="0" borderId="1" xfId="0" applyNumberFormat="1" applyBorder="1"/>
    <xf numFmtId="0" fontId="0" fillId="2" borderId="0" xfId="0" applyFill="1"/>
    <xf numFmtId="168" fontId="0" fillId="0" borderId="0" xfId="0" applyNumberFormat="1"/>
    <xf numFmtId="170" fontId="0" fillId="3" borderId="1" xfId="0" applyNumberFormat="1" applyFill="1" applyBorder="1"/>
    <xf numFmtId="0" fontId="2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n.annahar.com/article/1070554-lebanese-eurobonds-inevitable-default-or-trade-of-a-lifetime" TargetMode="External"/><Relationship Id="rId3" Type="http://schemas.openxmlformats.org/officeDocument/2006/relationships/hyperlink" Target="https://www.byblosbank.com/capital-markets/fixed-income" TargetMode="External"/><Relationship Id="rId7" Type="http://schemas.openxmlformats.org/officeDocument/2006/relationships/hyperlink" Target="https://au.finance.yahoo.com/news/lebanon-illiquid-bond-market-takes-101641205.html" TargetMode="External"/><Relationship Id="rId2" Type="http://schemas.openxmlformats.org/officeDocument/2006/relationships/hyperlink" Target="https://www.bankaudi.com.lb/private-banking/capital-markets/fixed-income" TargetMode="External"/><Relationship Id="rId1" Type="http://schemas.openxmlformats.org/officeDocument/2006/relationships/hyperlink" Target="https://www.bourse.lu/security/XS0250882478/99150" TargetMode="External"/><Relationship Id="rId6" Type="http://schemas.openxmlformats.org/officeDocument/2006/relationships/hyperlink" Target="https://www.bloomberg.com/news/articles/2019-09-09/juiciest-sovereign-eurobond-in-history-may-come-if-lebanon-sells" TargetMode="External"/><Relationship Id="rId5" Type="http://schemas.openxmlformats.org/officeDocument/2006/relationships/hyperlink" Target="https://www.bloomberg.com/news/articles/2019-06-19/lebanon-eurobonds-enter-danger-zone-as-fiscal-crisis-drags-on" TargetMode="External"/><Relationship Id="rId10" Type="http://schemas.openxmlformats.org/officeDocument/2006/relationships/hyperlink" Target="https://uk.reuters.com/article/lebanon-bonds/lebanon-to-delay-2-bln-eurobond-issuance-committed-to-paying-maturities-on-time-idUKL8N27P0PO" TargetMode="External"/><Relationship Id="rId4" Type="http://schemas.openxmlformats.org/officeDocument/2006/relationships/hyperlink" Target="https://www.bourse.lu/security/XS0250882478/99150" TargetMode="External"/><Relationship Id="rId9" Type="http://schemas.openxmlformats.org/officeDocument/2006/relationships/hyperlink" Target="https://www.bloomberg.com/news/videos/2019-11-12/lebanon-still-far-from-doomsday-scenario-arqaam-capital-s-rizk-says-vid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41"/>
  <sheetViews>
    <sheetView tabSelected="1" zoomScale="60" zoomScaleNormal="60" workbookViewId="0">
      <selection activeCell="D32" sqref="D32"/>
    </sheetView>
  </sheetViews>
  <sheetFormatPr baseColWidth="10" defaultColWidth="10.625" defaultRowHeight="15.75"/>
  <cols>
    <col min="2" max="2" width="19.125" customWidth="1"/>
    <col min="3" max="3" width="24.875" customWidth="1"/>
  </cols>
  <sheetData>
    <row r="3" spans="2:6">
      <c r="B3" t="s">
        <v>0</v>
      </c>
      <c r="C3" s="1">
        <v>43768</v>
      </c>
      <c r="D3" s="1">
        <v>43935</v>
      </c>
      <c r="E3" s="1">
        <v>44300</v>
      </c>
    </row>
    <row r="4" spans="2:6">
      <c r="B4" t="s">
        <v>1</v>
      </c>
      <c r="C4" s="1"/>
      <c r="D4" s="2">
        <f>(D3-C3)/365</f>
        <v>0.45753424657534247</v>
      </c>
      <c r="E4" s="2">
        <f>(E3-C3)/365</f>
        <v>1.4575342465753425</v>
      </c>
    </row>
    <row r="5" spans="2:6">
      <c r="B5" t="s">
        <v>2</v>
      </c>
      <c r="C5">
        <v>-76</v>
      </c>
      <c r="D5">
        <v>8.25</v>
      </c>
      <c r="E5">
        <v>108.25</v>
      </c>
      <c r="F5" s="3">
        <f>IRR(C5:E5)</f>
        <v>0.24896791771812032</v>
      </c>
    </row>
    <row r="6" spans="2:6">
      <c r="B6" t="s">
        <v>3</v>
      </c>
      <c r="C6" s="3">
        <v>0.36</v>
      </c>
      <c r="F6" s="3"/>
    </row>
    <row r="7" spans="2:6">
      <c r="B7" t="s">
        <v>4</v>
      </c>
      <c r="C7">
        <f>C5</f>
        <v>-76</v>
      </c>
      <c r="D7" s="2">
        <f>D5/(1+$C$6)^D4</f>
        <v>7.1672957373213642</v>
      </c>
      <c r="E7" s="2">
        <f>E5/(1+$C$6)^E4</f>
        <v>69.149711547686067</v>
      </c>
      <c r="F7" s="2">
        <f>SUM(C7:E7)</f>
        <v>0.3170072850074348</v>
      </c>
    </row>
    <row r="10" spans="2:6">
      <c r="C10" s="4" t="s">
        <v>5</v>
      </c>
    </row>
    <row r="11" spans="2:6">
      <c r="C11" s="5" t="s">
        <v>6</v>
      </c>
    </row>
    <row r="12" spans="2:6">
      <c r="C12" s="5" t="s">
        <v>7</v>
      </c>
    </row>
    <row r="13" spans="2:6">
      <c r="C13" s="5" t="s">
        <v>8</v>
      </c>
    </row>
    <row r="14" spans="2:6">
      <c r="C14" s="5"/>
    </row>
    <row r="15" spans="2:6">
      <c r="C15" s="4" t="s">
        <v>9</v>
      </c>
    </row>
    <row r="16" spans="2:6">
      <c r="C16" s="5" t="s">
        <v>6</v>
      </c>
    </row>
    <row r="17" spans="3:4">
      <c r="C17" s="5"/>
    </row>
    <row r="18" spans="3:4">
      <c r="C18" s="5"/>
    </row>
    <row r="19" spans="3:4">
      <c r="C19" s="4" t="s">
        <v>10</v>
      </c>
    </row>
    <row r="20" spans="3:4">
      <c r="C20" s="5" t="s">
        <v>11</v>
      </c>
    </row>
    <row r="21" spans="3:4">
      <c r="C21" s="5" t="s">
        <v>12</v>
      </c>
    </row>
    <row r="23" spans="3:4">
      <c r="C23" s="5" t="s">
        <v>13</v>
      </c>
    </row>
    <row r="25" spans="3:4">
      <c r="C25" s="21" t="s">
        <v>35</v>
      </c>
    </row>
    <row r="27" spans="3:4">
      <c r="C27" t="s">
        <v>14</v>
      </c>
    </row>
    <row r="29" spans="3:4">
      <c r="C29" s="6">
        <v>29382469000</v>
      </c>
      <c r="D29" t="s">
        <v>15</v>
      </c>
    </row>
    <row r="30" spans="3:4">
      <c r="C30" s="6">
        <v>6000000</v>
      </c>
      <c r="D30" t="s">
        <v>16</v>
      </c>
    </row>
    <row r="31" spans="3:4">
      <c r="C31" s="7">
        <f>C29/C30</f>
        <v>4897.0781666666662</v>
      </c>
      <c r="D31" t="s">
        <v>17</v>
      </c>
    </row>
    <row r="36" spans="3:3">
      <c r="C36" t="s">
        <v>32</v>
      </c>
    </row>
    <row r="38" spans="3:3">
      <c r="C38" s="21" t="s">
        <v>31</v>
      </c>
    </row>
    <row r="40" spans="3:3">
      <c r="C40" t="s">
        <v>34</v>
      </c>
    </row>
    <row r="41" spans="3:3">
      <c r="C41" s="21" t="s">
        <v>33</v>
      </c>
    </row>
  </sheetData>
  <hyperlinks>
    <hyperlink ref="C11" r:id="rId1"/>
    <hyperlink ref="C12" r:id="rId2"/>
    <hyperlink ref="C13" r:id="rId3"/>
    <hyperlink ref="C16" r:id="rId4"/>
    <hyperlink ref="C20" r:id="rId5"/>
    <hyperlink ref="C21" r:id="rId6"/>
    <hyperlink ref="C23" r:id="rId7"/>
    <hyperlink ref="C38" r:id="rId8"/>
    <hyperlink ref="C41" r:id="rId9"/>
    <hyperlink ref="C25" r:id="rId10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B1:Y19"/>
  <sheetViews>
    <sheetView zoomScale="120" zoomScaleNormal="120" workbookViewId="0">
      <selection activeCell="C5" sqref="C5"/>
    </sheetView>
  </sheetViews>
  <sheetFormatPr baseColWidth="10" defaultColWidth="10.5" defaultRowHeight="15.75"/>
  <cols>
    <col min="2" max="2" width="17.375" customWidth="1"/>
    <col min="3" max="3" width="13.5" customWidth="1"/>
  </cols>
  <sheetData>
    <row r="1" spans="2:25">
      <c r="B1" s="8"/>
      <c r="C1" s="9"/>
    </row>
    <row r="2" spans="2:25">
      <c r="B2" s="8" t="s">
        <v>18</v>
      </c>
      <c r="C2" s="8" t="s">
        <v>19</v>
      </c>
      <c r="Y2" s="10">
        <v>0</v>
      </c>
    </row>
    <row r="3" spans="2:25">
      <c r="B3" s="11" t="s">
        <v>20</v>
      </c>
      <c r="C3" s="12">
        <v>43781</v>
      </c>
      <c r="Y3" s="12">
        <f>C3</f>
        <v>43781</v>
      </c>
    </row>
    <row r="4" spans="2:25">
      <c r="B4" s="11" t="s">
        <v>21</v>
      </c>
      <c r="C4" s="13">
        <v>0.1575</v>
      </c>
      <c r="Y4" s="14">
        <f>(Y3-$C$3)/365.25</f>
        <v>0</v>
      </c>
    </row>
    <row r="5" spans="2:25">
      <c r="B5" s="11" t="s">
        <v>22</v>
      </c>
      <c r="C5" s="12">
        <v>43703</v>
      </c>
      <c r="Y5" s="10">
        <f>6.65/2</f>
        <v>3.3250000000000002</v>
      </c>
    </row>
    <row r="6" spans="2:25">
      <c r="B6" s="11" t="s">
        <v>23</v>
      </c>
      <c r="C6" s="15">
        <f>(C3-C5)</f>
        <v>78</v>
      </c>
      <c r="Y6" s="14">
        <f>-C7</f>
        <v>-1.421095890410959</v>
      </c>
    </row>
    <row r="7" spans="2:25">
      <c r="B7" s="11" t="s">
        <v>24</v>
      </c>
      <c r="C7" s="16">
        <f>3.325*C6/(365/2)</f>
        <v>1.421095890410959</v>
      </c>
    </row>
    <row r="8" spans="2:25">
      <c r="B8" s="11"/>
      <c r="C8" s="17"/>
    </row>
    <row r="9" spans="2:25">
      <c r="B9" s="10" t="s">
        <v>25</v>
      </c>
      <c r="C9" s="10">
        <v>1</v>
      </c>
      <c r="D9" s="10">
        <f t="shared" ref="D9:W9" si="0">C9+1</f>
        <v>2</v>
      </c>
      <c r="E9" s="10">
        <f t="shared" si="0"/>
        <v>3</v>
      </c>
      <c r="F9" s="10">
        <f t="shared" si="0"/>
        <v>4</v>
      </c>
      <c r="G9" s="10">
        <f t="shared" si="0"/>
        <v>5</v>
      </c>
      <c r="H9" s="10">
        <f t="shared" si="0"/>
        <v>6</v>
      </c>
      <c r="I9" s="10">
        <f t="shared" si="0"/>
        <v>7</v>
      </c>
      <c r="J9" s="10">
        <f t="shared" si="0"/>
        <v>8</v>
      </c>
      <c r="K9" s="10">
        <f t="shared" si="0"/>
        <v>9</v>
      </c>
      <c r="L9" s="10">
        <f t="shared" si="0"/>
        <v>10</v>
      </c>
      <c r="M9" s="10">
        <f t="shared" si="0"/>
        <v>11</v>
      </c>
      <c r="N9" s="10">
        <f t="shared" si="0"/>
        <v>12</v>
      </c>
      <c r="O9" s="10">
        <f t="shared" si="0"/>
        <v>13</v>
      </c>
      <c r="P9" s="10">
        <f t="shared" si="0"/>
        <v>14</v>
      </c>
      <c r="Q9" s="10">
        <f t="shared" si="0"/>
        <v>15</v>
      </c>
      <c r="R9" s="10">
        <f t="shared" si="0"/>
        <v>16</v>
      </c>
      <c r="S9" s="10">
        <f t="shared" si="0"/>
        <v>17</v>
      </c>
      <c r="T9" s="10">
        <f t="shared" si="0"/>
        <v>18</v>
      </c>
      <c r="U9" s="10">
        <f t="shared" si="0"/>
        <v>19</v>
      </c>
      <c r="V9" s="10">
        <f t="shared" si="0"/>
        <v>20</v>
      </c>
      <c r="W9" s="10">
        <f t="shared" si="0"/>
        <v>21</v>
      </c>
    </row>
    <row r="10" spans="2:25">
      <c r="B10" s="10" t="s">
        <v>0</v>
      </c>
      <c r="C10" s="12">
        <v>43887</v>
      </c>
      <c r="D10" s="12">
        <f t="shared" ref="D10:W10" si="1">C10+365.25/2</f>
        <v>44069.625</v>
      </c>
      <c r="E10" s="12">
        <f t="shared" si="1"/>
        <v>44252.25</v>
      </c>
      <c r="F10" s="12">
        <f t="shared" si="1"/>
        <v>44434.875</v>
      </c>
      <c r="G10" s="12">
        <f t="shared" si="1"/>
        <v>44617.5</v>
      </c>
      <c r="H10" s="12">
        <f t="shared" si="1"/>
        <v>44800.125</v>
      </c>
      <c r="I10" s="12">
        <f t="shared" si="1"/>
        <v>44982.75</v>
      </c>
      <c r="J10" s="12">
        <f t="shared" si="1"/>
        <v>45165.375</v>
      </c>
      <c r="K10" s="12">
        <f t="shared" si="1"/>
        <v>45348</v>
      </c>
      <c r="L10" s="12">
        <f t="shared" si="1"/>
        <v>45530.625</v>
      </c>
      <c r="M10" s="12">
        <f t="shared" si="1"/>
        <v>45713.25</v>
      </c>
      <c r="N10" s="12">
        <f t="shared" si="1"/>
        <v>45895.875</v>
      </c>
      <c r="O10" s="12">
        <f t="shared" si="1"/>
        <v>46078.5</v>
      </c>
      <c r="P10" s="12">
        <f t="shared" si="1"/>
        <v>46261.125</v>
      </c>
      <c r="Q10" s="12">
        <f t="shared" si="1"/>
        <v>46443.75</v>
      </c>
      <c r="R10" s="12">
        <f t="shared" si="1"/>
        <v>46626.375</v>
      </c>
      <c r="S10" s="12">
        <f t="shared" si="1"/>
        <v>46809</v>
      </c>
      <c r="T10" s="12">
        <f t="shared" si="1"/>
        <v>46991.625</v>
      </c>
      <c r="U10" s="12">
        <f t="shared" si="1"/>
        <v>47174.25</v>
      </c>
      <c r="V10" s="12">
        <f t="shared" si="1"/>
        <v>47356.875</v>
      </c>
      <c r="W10" s="12">
        <f t="shared" si="1"/>
        <v>47539.5</v>
      </c>
    </row>
    <row r="11" spans="2:25">
      <c r="B11" s="10" t="s">
        <v>26</v>
      </c>
      <c r="C11" s="14">
        <f t="shared" ref="C11:W11" si="2">(C10-$C$3)/365.25</f>
        <v>0.29021218343600275</v>
      </c>
      <c r="D11" s="14">
        <f t="shared" si="2"/>
        <v>0.79021218343600275</v>
      </c>
      <c r="E11" s="14">
        <f t="shared" si="2"/>
        <v>1.2902121834360027</v>
      </c>
      <c r="F11" s="14">
        <f t="shared" si="2"/>
        <v>1.7902121834360027</v>
      </c>
      <c r="G11" s="14">
        <f t="shared" si="2"/>
        <v>2.2902121834360027</v>
      </c>
      <c r="H11" s="14">
        <f t="shared" si="2"/>
        <v>2.7902121834360027</v>
      </c>
      <c r="I11" s="14">
        <f t="shared" si="2"/>
        <v>3.2902121834360027</v>
      </c>
      <c r="J11" s="14">
        <f t="shared" si="2"/>
        <v>3.7902121834360027</v>
      </c>
      <c r="K11" s="14">
        <f t="shared" si="2"/>
        <v>4.2902121834360027</v>
      </c>
      <c r="L11" s="14">
        <f t="shared" si="2"/>
        <v>4.7902121834360027</v>
      </c>
      <c r="M11" s="14">
        <f t="shared" si="2"/>
        <v>5.2902121834360027</v>
      </c>
      <c r="N11" s="14">
        <f t="shared" si="2"/>
        <v>5.7902121834360027</v>
      </c>
      <c r="O11" s="14">
        <f t="shared" si="2"/>
        <v>6.2902121834360027</v>
      </c>
      <c r="P11" s="14">
        <f t="shared" si="2"/>
        <v>6.7902121834360027</v>
      </c>
      <c r="Q11" s="14">
        <f t="shared" si="2"/>
        <v>7.2902121834360027</v>
      </c>
      <c r="R11" s="14">
        <f t="shared" si="2"/>
        <v>7.7902121834360027</v>
      </c>
      <c r="S11" s="14">
        <f t="shared" si="2"/>
        <v>8.2902121834360027</v>
      </c>
      <c r="T11" s="14">
        <f t="shared" si="2"/>
        <v>8.7902121834360027</v>
      </c>
      <c r="U11" s="14">
        <f t="shared" si="2"/>
        <v>9.2902121834360027</v>
      </c>
      <c r="V11" s="14">
        <f t="shared" si="2"/>
        <v>9.7902121834360027</v>
      </c>
      <c r="W11" s="14">
        <f t="shared" si="2"/>
        <v>10.290212183436003</v>
      </c>
    </row>
    <row r="12" spans="2:25">
      <c r="B12" s="10" t="s">
        <v>27</v>
      </c>
      <c r="C12" s="10">
        <f t="shared" ref="C12:V12" si="3">6.65/2</f>
        <v>3.3250000000000002</v>
      </c>
      <c r="D12" s="10">
        <f t="shared" si="3"/>
        <v>3.3250000000000002</v>
      </c>
      <c r="E12" s="10">
        <f t="shared" si="3"/>
        <v>3.3250000000000002</v>
      </c>
      <c r="F12" s="10">
        <f t="shared" si="3"/>
        <v>3.3250000000000002</v>
      </c>
      <c r="G12" s="10">
        <f t="shared" si="3"/>
        <v>3.3250000000000002</v>
      </c>
      <c r="H12" s="10">
        <f t="shared" si="3"/>
        <v>3.3250000000000002</v>
      </c>
      <c r="I12" s="10">
        <f t="shared" si="3"/>
        <v>3.3250000000000002</v>
      </c>
      <c r="J12" s="10">
        <f t="shared" si="3"/>
        <v>3.3250000000000002</v>
      </c>
      <c r="K12" s="10">
        <f t="shared" si="3"/>
        <v>3.3250000000000002</v>
      </c>
      <c r="L12" s="10">
        <f t="shared" si="3"/>
        <v>3.3250000000000002</v>
      </c>
      <c r="M12" s="10">
        <f t="shared" si="3"/>
        <v>3.3250000000000002</v>
      </c>
      <c r="N12" s="10">
        <f t="shared" si="3"/>
        <v>3.3250000000000002</v>
      </c>
      <c r="O12" s="10">
        <f t="shared" si="3"/>
        <v>3.3250000000000002</v>
      </c>
      <c r="P12" s="10">
        <f t="shared" si="3"/>
        <v>3.3250000000000002</v>
      </c>
      <c r="Q12" s="10">
        <f t="shared" si="3"/>
        <v>3.3250000000000002</v>
      </c>
      <c r="R12" s="10">
        <f t="shared" si="3"/>
        <v>3.3250000000000002</v>
      </c>
      <c r="S12" s="10">
        <f t="shared" si="3"/>
        <v>3.3250000000000002</v>
      </c>
      <c r="T12" s="10">
        <f t="shared" si="3"/>
        <v>3.3250000000000002</v>
      </c>
      <c r="U12" s="10">
        <f t="shared" si="3"/>
        <v>3.3250000000000002</v>
      </c>
      <c r="V12" s="10">
        <f t="shared" si="3"/>
        <v>3.3250000000000002</v>
      </c>
      <c r="W12" s="10">
        <f>6.65/2+100</f>
        <v>103.325</v>
      </c>
    </row>
    <row r="13" spans="2:25">
      <c r="B13" s="10" t="s">
        <v>28</v>
      </c>
      <c r="C13" s="14">
        <f t="shared" ref="C13:W13" si="4">C12/(1+$C$4)^C11</f>
        <v>3.1868166800058493</v>
      </c>
      <c r="D13" s="14">
        <f t="shared" si="4"/>
        <v>2.9620786222035598</v>
      </c>
      <c r="E13" s="14">
        <f t="shared" si="4"/>
        <v>2.7531893563765437</v>
      </c>
      <c r="F13" s="14">
        <f t="shared" si="4"/>
        <v>2.5590312070873087</v>
      </c>
      <c r="G13" s="14">
        <f t="shared" si="4"/>
        <v>2.3785653186838389</v>
      </c>
      <c r="H13" s="14">
        <f t="shared" si="4"/>
        <v>2.2108260968356879</v>
      </c>
      <c r="I13" s="14">
        <f>I12/(1+$C$4)^I11</f>
        <v>2.0549160420594723</v>
      </c>
      <c r="J13" s="14">
        <f t="shared" si="4"/>
        <v>1.9100009475902269</v>
      </c>
      <c r="K13" s="14">
        <f t="shared" si="4"/>
        <v>1.7753054359045115</v>
      </c>
      <c r="L13" s="14">
        <f t="shared" si="4"/>
        <v>1.6501088100131553</v>
      </c>
      <c r="M13" s="14">
        <f t="shared" si="4"/>
        <v>1.533741197325712</v>
      </c>
      <c r="N13" s="14">
        <f t="shared" si="4"/>
        <v>1.4255799654541299</v>
      </c>
      <c r="O13" s="14">
        <f t="shared" si="4"/>
        <v>1.3250463907781529</v>
      </c>
      <c r="P13" s="14">
        <f t="shared" si="4"/>
        <v>1.2316025619474122</v>
      </c>
      <c r="Q13" s="14">
        <f t="shared" si="4"/>
        <v>1.1447485017521839</v>
      </c>
      <c r="R13" s="14">
        <f t="shared" si="4"/>
        <v>1.0640194919632071</v>
      </c>
      <c r="S13" s="14">
        <f t="shared" si="4"/>
        <v>0.98898358682694065</v>
      </c>
      <c r="T13" s="14">
        <f t="shared" si="4"/>
        <v>0.91923930191205805</v>
      </c>
      <c r="U13" s="14">
        <f t="shared" si="4"/>
        <v>0.85441346594120171</v>
      </c>
      <c r="V13" s="14">
        <f t="shared" si="4"/>
        <v>0.79415922411408901</v>
      </c>
      <c r="W13" s="14">
        <f t="shared" si="4"/>
        <v>22.938279963851222</v>
      </c>
    </row>
    <row r="14" spans="2:25">
      <c r="B14" s="20">
        <f>SUM(C13:W13)</f>
        <v>57.660652168626456</v>
      </c>
      <c r="C14" s="10" t="s">
        <v>29</v>
      </c>
    </row>
    <row r="16" spans="2:25">
      <c r="C16" t="s">
        <v>30</v>
      </c>
    </row>
    <row r="17" spans="2:23">
      <c r="B17" s="18">
        <v>57.625</v>
      </c>
      <c r="C17">
        <f>C12</f>
        <v>3.3250000000000002</v>
      </c>
    </row>
    <row r="18" spans="2:23">
      <c r="C18" s="12">
        <f t="shared" ref="C18:W18" si="5">C10</f>
        <v>43887</v>
      </c>
      <c r="D18" s="12">
        <f t="shared" si="5"/>
        <v>44069.625</v>
      </c>
      <c r="E18" s="12">
        <f t="shared" si="5"/>
        <v>44252.25</v>
      </c>
      <c r="F18" s="12">
        <f t="shared" si="5"/>
        <v>44434.875</v>
      </c>
      <c r="G18" s="12">
        <f t="shared" si="5"/>
        <v>44617.5</v>
      </c>
      <c r="H18" s="12">
        <f t="shared" si="5"/>
        <v>44800.125</v>
      </c>
      <c r="I18" s="12">
        <f t="shared" si="5"/>
        <v>44982.75</v>
      </c>
      <c r="J18" s="12">
        <f t="shared" si="5"/>
        <v>45165.375</v>
      </c>
      <c r="K18" s="12">
        <f t="shared" si="5"/>
        <v>45348</v>
      </c>
      <c r="L18" s="12">
        <f t="shared" si="5"/>
        <v>45530.625</v>
      </c>
      <c r="M18" s="12">
        <f t="shared" si="5"/>
        <v>45713.25</v>
      </c>
      <c r="N18" s="12">
        <f t="shared" si="5"/>
        <v>45895.875</v>
      </c>
      <c r="O18" s="12">
        <f t="shared" si="5"/>
        <v>46078.5</v>
      </c>
      <c r="P18" s="12">
        <f t="shared" si="5"/>
        <v>46261.125</v>
      </c>
      <c r="Q18" s="12">
        <f t="shared" si="5"/>
        <v>46443.75</v>
      </c>
      <c r="R18" s="12">
        <f t="shared" si="5"/>
        <v>46626.375</v>
      </c>
      <c r="S18" s="12">
        <f t="shared" si="5"/>
        <v>46809</v>
      </c>
      <c r="T18" s="12">
        <f t="shared" si="5"/>
        <v>46991.625</v>
      </c>
      <c r="U18" s="12">
        <f t="shared" si="5"/>
        <v>47174.25</v>
      </c>
      <c r="V18" s="12">
        <f t="shared" si="5"/>
        <v>47356.875</v>
      </c>
      <c r="W18" s="12">
        <f t="shared" si="5"/>
        <v>47539.5</v>
      </c>
    </row>
    <row r="19" spans="2:23">
      <c r="B19" s="19" t="e">
        <f>IRR(C18:W19)</f>
        <v>#NUM!</v>
      </c>
      <c r="C19" s="10">
        <f t="shared" ref="C19:W19" si="6">C12</f>
        <v>3.3250000000000002</v>
      </c>
      <c r="D19" s="10">
        <f t="shared" si="6"/>
        <v>3.3250000000000002</v>
      </c>
      <c r="E19" s="10">
        <f t="shared" si="6"/>
        <v>3.3250000000000002</v>
      </c>
      <c r="F19" s="10">
        <f t="shared" si="6"/>
        <v>3.3250000000000002</v>
      </c>
      <c r="G19" s="10">
        <f t="shared" si="6"/>
        <v>3.3250000000000002</v>
      </c>
      <c r="H19" s="10">
        <f t="shared" si="6"/>
        <v>3.3250000000000002</v>
      </c>
      <c r="I19" s="10">
        <f t="shared" si="6"/>
        <v>3.3250000000000002</v>
      </c>
      <c r="J19" s="10">
        <f t="shared" si="6"/>
        <v>3.3250000000000002</v>
      </c>
      <c r="K19" s="10">
        <f t="shared" si="6"/>
        <v>3.3250000000000002</v>
      </c>
      <c r="L19" s="10">
        <f t="shared" si="6"/>
        <v>3.3250000000000002</v>
      </c>
      <c r="M19" s="10">
        <f t="shared" si="6"/>
        <v>3.3250000000000002</v>
      </c>
      <c r="N19" s="10">
        <f t="shared" si="6"/>
        <v>3.3250000000000002</v>
      </c>
      <c r="O19" s="10">
        <f t="shared" si="6"/>
        <v>3.3250000000000002</v>
      </c>
      <c r="P19" s="10">
        <f t="shared" si="6"/>
        <v>3.3250000000000002</v>
      </c>
      <c r="Q19" s="10">
        <f t="shared" si="6"/>
        <v>3.3250000000000002</v>
      </c>
      <c r="R19" s="10">
        <f t="shared" si="6"/>
        <v>3.3250000000000002</v>
      </c>
      <c r="S19" s="10">
        <f t="shared" si="6"/>
        <v>3.3250000000000002</v>
      </c>
      <c r="T19" s="10">
        <f t="shared" si="6"/>
        <v>3.3250000000000002</v>
      </c>
      <c r="U19" s="10">
        <f t="shared" si="6"/>
        <v>3.3250000000000002</v>
      </c>
      <c r="V19" s="10">
        <f t="shared" si="6"/>
        <v>3.3250000000000002</v>
      </c>
      <c r="W19" s="10">
        <f t="shared" si="6"/>
        <v>103.325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Roman,Normal"&amp;A</oddHeader>
    <oddFooter>&amp;C&amp;"Times New Roman,Normal"Page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Source</vt:lpstr>
      <vt:lpstr>Lebanon_May_2030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Alexis Nass</cp:lastModifiedBy>
  <cp:revision>4</cp:revision>
  <dcterms:created xsi:type="dcterms:W3CDTF">2019-10-31T15:07:38Z</dcterms:created>
  <dcterms:modified xsi:type="dcterms:W3CDTF">2019-11-19T10:02:00Z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